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934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<sst xmlns="http://schemas.openxmlformats.org/spreadsheetml/2006/main" count="1069" uniqueCount="874">
  <si>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</si>
  <si>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</si>
  <si>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</si>
  <si>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</si>
  <si>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</si>
  <si>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</si>
  <si>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</si>
  <si>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</si>
  <si>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</si>
  <si>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</si>
  <si>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</si>
  <si>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</si>
  <si>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</si>
  <si>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</si>
  <si>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</si>
  <si>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</si>
  <si>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</si>
  <si>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</si>
  <si>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</si>
  <si>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</si>
  <si>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</si>
  <si>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</si>
  <si>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</si>
  <si>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</si>
  <si>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</si>
  <si>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</si>
  <si>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</si>
  <si>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</si>
  <si>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</si>
  <si>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</si>
  <si>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</si>
  <si>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</si>
  <si>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</si>
  <si>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</si>
  <si>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</si>
  <si>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</si>
  <si>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</si>
  <si>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</si>
  <si>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</si>
  <si>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</si>
  <si>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</si>
  <si>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</si>
  <si>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</si>
  <si>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</si>
  <si>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</si>
  <si>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</si>
  <si>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</si>
  <si>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</si>
  <si>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</si>
  <si>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</si>
  <si>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</si>
  <si>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</si>
  <si>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</si>
  <si>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</si>
  <si>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</si>
  <si>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</si>
  <si>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</si>
  <si>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</si>
  <si>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</si>
  <si>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</si>
  <si>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</si>
  <si>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</si>
  <si>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</si>
  <si>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</si>
  <si>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</si>
  <si>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</si>
  <si>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</si>
  <si>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</si>
  <si>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</si>
  <si>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</si>
  <si>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</si>
  <si>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</si>
  <si>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</si>
  <si>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</si>
  <si>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</si>
  <si>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</si>
  <si>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</si>
  <si>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</si>
  <si>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</si>
  <si>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</si>
  <si>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</si>
  <si>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</si>
  <si>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</si>
  <si>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</si>
  <si>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</si>
  <si>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</si>
  <si>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</si>
  <si>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</si>
  <si>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</si>
  <si>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</si>
  <si>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</si>
  <si>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</si>
  <si>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</si>
  <si>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</si>
  <si>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</si>
  <si>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</si>
  <si>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</si>
  <si>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</si>
  <si>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</si>
  <si>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</si>
  <si>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</si>
  <si>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</si>
  <si>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</si>
  <si>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</si>
  <si>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</si>
  <si>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</si>
  <si>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</si>
  <si>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</si>
  <si>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</si>
  <si>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</si>
  <si>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</si>
  <si>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</si>
  <si>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</si>
  <si>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</si>
  <si>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</si>
  <si>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</si>
  <si>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</si>
  <si>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</si>
  <si>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</si>
  <si>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</si>
  <si>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</si>
  <si>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</si>
  <si>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</si>
  <si>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</si>
  <si>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</si>
  <si>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</si>
  <si>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</si>
  <si>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</si>
  <si>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</si>
  <si>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</si>
  <si>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</si>
  <si>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</si>
  <si>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</si>
  <si>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</si>
  <si>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</si>
  <si>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</si>
  <si>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</si>
  <si>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</si>
  <si>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</si>
  <si>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</si>
  <si>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</si>
  <si>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</si>
  <si>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</si>
  <si>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</si>
  <si>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</si>
  <si>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</si>
  <si>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</si>
  <si>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</si>
  <si>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</si>
  <si>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</si>
  <si>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</si>
  <si>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</si>
  <si>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</si>
  <si>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</si>
  <si>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</si>
  <si>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</si>
  <si>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</si>
  <si>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</si>
  <si>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</si>
  <si>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</si>
  <si>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</si>
  <si>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</si>
  <si>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</si>
  <si>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</si>
  <si>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</si>
  <si>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</si>
  <si>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</si>
  <si>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</si>
  <si>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</si>
  <si>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</si>
  <si>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</si>
  <si>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</si>
  <si>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</si>
  <si>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</si>
  <si>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</si>
  <si>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</si>
  <si>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</si>
  <si>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</si>
  <si>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</si>
  <si>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</si>
  <si>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</si>
  <si>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</si>
  <si>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</si>
  <si>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</si>
  <si>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</si>
  <si>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</si>
  <si>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</si>
  <si>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</si>
  <si>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</si>
  <si>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</si>
  <si>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</si>
  <si>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</si>
  <si>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</si>
  <si>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</si>
  <si>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</si>
  <si>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</si>
  <si>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</si>
  <si>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</si>
  <si>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</si>
  <si>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</si>
  <si>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</si>
  <si>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</si>
  <si>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</si>
  <si>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</si>
  <si>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</si>
  <si>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</si>
  <si>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</si>
  <si>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</si>
  <si>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</si>
  <si>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</si>
  <si>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</si>
  <si>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</si>
  <si>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</si>
  <si>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</si>
  <si>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</si>
  <si>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</si>
  <si>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</si>
  <si>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</si>
  <si>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</si>
  <si>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</si>
  <si>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</si>
  <si>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</si>
  <si>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</si>
  <si>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</si>
  <si>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</si>
  <si>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</si>
  <si>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</si>
  <si>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</si>
  <si>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</si>
  <si>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</si>
  <si>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</si>
  <si>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</si>
  <si>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</si>
  <si>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</si>
  <si>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</si>
  <si>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</si>
  <si>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</si>
  <si>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</si>
  <si>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</si>
  <si>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</si>
  <si>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</si>
  <si>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</si>
  <si>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</si>
  <si>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</si>
  <si>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</si>
  <si>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</si>
  <si>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</si>
  <si>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</si>
  <si>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</si>
  <si>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</si>
  <si>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</si>
  <si>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</si>
  <si>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</si>
  <si>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</si>
  <si>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</si>
  <si>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</si>
  <si>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</si>
  <si>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</si>
  <si>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</si>
  <si>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</si>
  <si>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</si>
  <si>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</si>
  <si>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</si>
  <si>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</si>
  <si>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</si>
  <si>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</si>
  <si>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</si>
  <si>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</si>
  <si>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</si>
  <si>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</si>
  <si>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</si>
  <si>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</si>
  <si>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</si>
  <si>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</si>
  <si>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</si>
  <si>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</si>
  <si>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</si>
  <si>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</si>
  <si>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</si>
  <si>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</si>
  <si>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</si>
  <si>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</si>
  <si>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</si>
  <si>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</si>
  <si>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</si>
  <si>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</si>
  <si>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</si>
  <si>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</si>
  <si>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</si>
  <si>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</si>
  <si>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</si>
  <si>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</si>
  <si>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</si>
  <si>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</si>
  <si>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</si>
  <si>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</si>
  <si>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</si>
  <si>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</si>
  <si>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</si>
  <si>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</si>
  <si>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</si>
  <si>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</si>
  <si>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</si>
  <si>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</si>
  <si>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</si>
  <si>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</si>
  <si>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</si>
  <si>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</si>
  <si>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</si>
  <si>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</si>
  <si>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</si>
  <si>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</si>
  <si>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</si>
  <si>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</si>
  <si>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</si>
  <si>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</si>
  <si>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</si>
  <si>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</si>
  <si>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</si>
  <si>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</si>
  <si>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</si>
  <si>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</si>
  <si>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</si>
  <si>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</si>
  <si>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</si>
  <si>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</si>
  <si>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</si>
  <si>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</si>
  <si>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</si>
  <si>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</si>
  <si>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</si>
  <si>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</si>
  <si>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</si>
  <si>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</si>
  <si>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</si>
  <si>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</si>
  <si>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</si>
  <si>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</si>
  <si>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</si>
  <si>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</si>
  <si>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</si>
  <si>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</si>
  <si>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</si>
  <si>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</si>
  <si>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</si>
  <si>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</si>
  <si>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</si>
  <si>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</si>
  <si>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</si>
  <si>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</si>
  <si>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</si>
  <si>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</si>
  <si>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</si>
  <si>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</si>
  <si>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</si>
  <si>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</si>
  <si>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</si>
  <si>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</si>
  <si>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</si>
  <si>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</si>
  <si>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</si>
  <si>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</si>
  <si>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</si>
  <si>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</si>
  <si>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</si>
  <si>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</si>
  <si>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</si>
  <si>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</si>
  <si>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</si>
  <si>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</si>
  <si>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</si>
  <si>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</si>
  <si>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</si>
  <si>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</si>
  <si>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</si>
  <si>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</si>
  <si>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</si>
  <si>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</si>
  <si>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</si>
  <si>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</si>
  <si>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</si>
  <si>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</si>
  <si>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</si>
  <si>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</si>
  <si>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</si>
  <si>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</si>
  <si>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</si>
  <si>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</si>
  <si>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</si>
  <si>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</si>
  <si>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</si>
  <si>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</si>
  <si>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</si>
  <si>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</si>
  <si>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</si>
  <si>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</si>
  <si>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</si>
  <si>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</si>
  <si>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</si>
  <si>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</si>
  <si>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</si>
  <si>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</si>
  <si>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</si>
  <si>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</si>
  <si>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</si>
  <si>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</si>
  <si>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</si>
  <si>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</si>
  <si>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</si>
  <si>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</si>
  <si>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</si>
  <si>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</si>
  <si>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</si>
  <si>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</si>
  <si>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</si>
  <si>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</si>
  <si>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</si>
  <si>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</si>
  <si>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</si>
  <si>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</si>
  <si>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</si>
  <si>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</si>
  <si>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</si>
  <si>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</si>
  <si>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</si>
  <si>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</si>
  <si>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</si>
  <si>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</si>
  <si>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</si>
  <si>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</si>
  <si>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</si>
  <si>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</si>
  <si>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</si>
  <si>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</si>
  <si>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</si>
  <si>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</si>
  <si>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</si>
  <si>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</si>
  <si>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</si>
  <si>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</si>
  <si>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</si>
  <si>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</si>
  <si>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</si>
  <si>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</si>
  <si>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</si>
  <si>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</si>
  <si>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</si>
  <si>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</si>
  <si>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</si>
  <si>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</si>
  <si>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</si>
  <si>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</si>
  <si>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</si>
  <si>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</si>
  <si>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</si>
  <si>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</si>
  <si>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</si>
  <si>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</si>
  <si>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</si>
  <si>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</si>
  <si>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</si>
  <si>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</si>
  <si>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</si>
  <si>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</si>
  <si>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</si>
  <si>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</si>
  <si>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</si>
  <si>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</si>
  <si>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</si>
  <si>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</si>
  <si>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</si>
  <si>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</si>
  <si>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</si>
  <si>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</si>
  <si>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</si>
  <si>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</si>
  <si>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</si>
  <si>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</si>
  <si>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</si>
  <si>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</si>
  <si>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</si>
  <si>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</si>
  <si>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</si>
  <si>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</si>
  <si>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</si>
  <si>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</si>
  <si>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</si>
  <si>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</si>
  <si>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</si>
  <si>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</si>
  <si>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</si>
  <si>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</si>
  <si>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</si>
  <si>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</si>
  <si>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</si>
  <si>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</si>
  <si>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</si>
  <si>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</si>
  <si>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</si>
  <si>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</si>
  <si>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</si>
  <si>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</si>
  <si>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</si>
  <si>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</si>
  <si>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</si>
  <si>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</si>
  <si>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</si>
  <si>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</si>
  <si>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</si>
  <si>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</si>
  <si>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</si>
  <si>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</si>
  <si>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</si>
  <si>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</si>
  <si>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</si>
  <si>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</si>
  <si>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</si>
  <si>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</si>
  <si>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</si>
  <si>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</si>
  <si>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</si>
  <si>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</si>
  <si>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</si>
  <si>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</si>
  <si>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</si>
  <si>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</si>
  <si>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</si>
  <si>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</si>
  <si>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</si>
  <si>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</si>
  <si>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</si>
  <si>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</si>
  <si>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</si>
  <si>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</si>
  <si>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</si>
  <si>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</si>
  <si>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</si>
  <si>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</si>
  <si>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</si>
  <si>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</si>
  <si>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</si>
  <si>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</si>
  <si>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</si>
  <si>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</si>
  <si>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</si>
  <si>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</si>
  <si>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</si>
  <si>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</si>
  <si>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</si>
  <si>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</si>
  <si>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</si>
  <si>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</si>
  <si>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</si>
  <si>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</si>
  <si>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</si>
  <si>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</si>
  <si>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</si>
  <si>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</si>
  <si>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</si>
  <si>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</si>
  <si>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</si>
  <si>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</si>
  <si>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</si>
  <si>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</si>
  <si>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</si>
  <si>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</si>
  <si>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</si>
  <si>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</si>
  <si>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</si>
  <si>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</si>
  <si>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</si>
  <si>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</si>
  <si>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</si>
  <si>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</si>
  <si>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</si>
  <si>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</si>
  <si>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</si>
  <si>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</si>
  <si>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</si>
  <si>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</si>
  <si>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</si>
  <si>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</si>
  <si>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</si>
  <si>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</si>
  <si>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</si>
  <si>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</si>
  <si>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</si>
  <si>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</si>
  <si>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</si>
  <si>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</si>
  <si>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</si>
  <si>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</si>
  <si>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</si>
  <si>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</si>
  <si>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</si>
  <si>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</si>
  <si>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</si>
  <si>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</si>
  <si>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</si>
  <si>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</si>
  <si>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</si>
  <si>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</si>
  <si>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</si>
  <si>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</si>
  <si>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</si>
  <si>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</si>
  <si>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</si>
  <si>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</si>
  <si>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</si>
  <si>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</si>
  <si>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</si>
  <si>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</si>
  <si>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</si>
  <si>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</si>
  <si>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</si>
  <si>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</si>
  <si>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</si>
  <si>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</si>
  <si>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</si>
  <si>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</si>
  <si>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</si>
  <si>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</si>
  <si>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</si>
  <si>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</si>
  <si>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</si>
  <si>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</si>
  <si>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</si>
  <si>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</si>
  <si>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</si>
  <si>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</si>
  <si>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</si>
  <si>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</si>
  <si>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</si>
  <si>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</si>
  <si>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</si>
  <si>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</si>
  <si>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</si>
  <si>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</si>
  <si>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</si>
  <si>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</si>
  <si>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</si>
  <si>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</si>
  <si>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</si>
  <si>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</si>
  <si>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</si>
  <si>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</si>
  <si>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</si>
  <si>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</si>
  <si>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</si>
  <si>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</si>
  <si>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</si>
  <si>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</si>
  <si>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</si>
  <si>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</si>
  <si>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</si>
  <si>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</si>
  <si>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</si>
  <si>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</si>
  <si>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</si>
  <si>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</si>
  <si>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</si>
  <si>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</si>
  <si>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</si>
  <si>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</si>
  <si>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</si>
  <si>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</si>
  <si>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</si>
  <si>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</si>
  <si>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</si>
  <si>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</si>
  <si>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</si>
  <si>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</si>
  <si>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</si>
  <si>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</si>
  <si>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</si>
  <si>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</si>
  <si>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</si>
  <si>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</si>
  <si>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</si>
  <si>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</si>
  <si>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</si>
  <si>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</si>
  <si>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</si>
  <si>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</si>
  <si>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</si>
  <si>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</si>
  <si>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</si>
  <si>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</si>
  <si>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</si>
  <si>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</si>
  <si>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</si>
  <si>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</si>
  <si>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</si>
  <si>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</si>
  <si>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</si>
  <si>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</si>
  <si>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</si>
  <si>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</si>
  <si>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</si>
  <si>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</si>
  <si>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</si>
  <si>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</si>
  <si>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</si>
  <si>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</si>
  <si>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</si>
  <si>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</si>
  <si>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</si>
  <si>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</si>
  <si>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</si>
  <si>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</si>
  <si>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</si>
  <si>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</si>
  <si>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</si>
  <si>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</si>
  <si>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</si>
  <si>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</si>
  <si>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</si>
  <si>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</si>
  <si>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</si>
  <si>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</si>
  <si>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</si>
  <si>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</si>
  <si>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</si>
  <si>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</si>
  <si>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</si>
  <si>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</si>
  <si>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</si>
  <si>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</si>
  <si>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</si>
  <si>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</si>
  <si>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</si>
  <si>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</si>
  <si>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</si>
  <si>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</si>
  <si>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</si>
  <si>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</si>
  <si>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</si>
  <si>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</si>
  <si>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</si>
  <si>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</si>
  <si>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</si>
  <si>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</si>
  <si>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</si>
  <si>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</si>
  <si>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</si>
  <si>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</si>
  <si>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</si>
  <si>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</si>
  <si>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</si>
  <si>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</si>
  <si>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</si>
  <si>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</si>
  <si>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</si>
  <si>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</si>
  <si>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</si>
  <si>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</si>
  <si>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</si>
  <si>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</si>
  <si>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</si>
  <si>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</si>
  <si>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</si>
  <si>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</si>
  <si>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</si>
  <si>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</si>
  <si>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</si>
  <si>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</si>
  <si>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</si>
  <si>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</si>
  <si>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</si>
  <si>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</si>
  <si>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</si>
  <si>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</si>
  <si>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</si>
  <si>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</si>
  <si>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</si>
  <si>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</si>
  <si>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</si>
  <si>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</si>
  <si>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</si>
  <si>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</si>
  <si>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</si>
  <si>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</si>
  <si>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</si>
  <si>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</si>
  <si>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</si>
  <si>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</si>
  <si>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</si>
  <si>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</si>
  <si>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</si>
  <si>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</si>
  <si>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</si>
  <si>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</si>
  <si>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</si>
  <si>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</si>
  <si>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</si>
  <si>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</si>
  <si>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</si>
  <si>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</si>
  <si>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</si>
  <si>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</si>
  <si>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</si>
  <si>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</si>
  <si>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</si>
  <si>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</si>
  <si>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</si>
  <si>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</si>
  <si>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</si>
  <si>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</si>
  <si>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</si>
  <si>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</si>
  <si>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</si>
  <si>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</si>
  <si>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</si>
  <si>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</si>
  <si>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</si>
  <si>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</si>
  <si>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</si>
  <si>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</si>
  <si>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</si>
  <si>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</si>
  <si>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</si>
  <si>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</si>
  <si>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</si>
  <si>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</si>
  <si>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</si>
  <si>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</si>
  <si>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</si>
  <si>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</si>
  <si>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</si>
  <si>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</si>
  <si>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</si>
  <si>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</si>
  <si>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</si>
  <si>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</si>
  <si>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</si>
  <si>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</si>
  <si>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</si>
  <si>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</si>
  <si>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</si>
  <si>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</si>
  <si>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</si>
  <si>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</si>
  <si>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</si>
  <si>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</si>
  <si>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</si>
  <si>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</si>
  <si>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</si>
  <si>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</si>
  <si>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</si>
  <si>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</si>
  <si>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</si>
  <si>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</si>
  <si>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</si>
  <si>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</si>
  <si>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</si>
  <si>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</si>
  <si>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</si>
  <si>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</si>
  <si>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</si>
  <si>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</si>
  <si>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</si>
  <si>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Ръководител: Веселин Терзиев</t>
  </si>
  <si>
    <t>Веселин Терзиев</t>
  </si>
  <si>
    <t>Ръководител:  Веселин Терзиев</t>
  </si>
  <si>
    <t>1. "Марина Кейп Турс" ЕООД, гр. София,</t>
  </si>
  <si>
    <t>2. ул."Аксаков" 7А, ет.4</t>
  </si>
  <si>
    <t>"МАРИНА КЕЙП МЕНИДЖМЪНТ" ЕООД</t>
  </si>
  <si>
    <t>Съставител: "Оптима одит" АД</t>
  </si>
  <si>
    <t>"Оптима одит" АД</t>
  </si>
  <si>
    <t xml:space="preserve">                                    Съставител: "Оптима одит" АД      </t>
  </si>
  <si>
    <t>01.01.2015 - 31.12.2015</t>
  </si>
  <si>
    <t>Дата на съставяне: 28,03,2016 г.</t>
  </si>
  <si>
    <t xml:space="preserve">Дата на съставяне: 28,03,2016 г.                    </t>
  </si>
  <si>
    <t xml:space="preserve">Дата  на съставяне: 28,03,2016 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</si>
</sst>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>
      <alignment/>
      <protection/>
    </xf>
    <xf numFmtId="0" fontId="11" fillId="0" borderId="0" xfId="66" applyFont="1" applyAlignment="1">
      <alignment/>
      <protection/>
    </xf>
    <xf numFmtId="0" fontId="11" fillId="0" borderId="0" xfId="64" applyFont="1" applyAlignment="1">
      <alignment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0" xfId="60" applyNumberFormat="1" applyFont="1" applyAlignment="1">
      <alignment horizontal="center" vertical="center" wrapText="1"/>
      <protection/>
    </xf>
    <xf numFmtId="0" fontId="5" fillId="0" borderId="0" xfId="61" applyFont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49" fontId="5" fillId="0" borderId="0" xfId="61" applyNumberFormat="1" applyFont="1" applyBorder="1" applyAlignment="1">
      <alignment vertical="justify"/>
      <protection/>
    </xf>
    <xf numFmtId="0" fontId="6" fillId="0" borderId="0" xfId="61" applyFont="1" applyBorder="1" applyAlignment="1">
      <alignment vertical="justify"/>
      <protection/>
    </xf>
    <xf numFmtId="0" fontId="5" fillId="0" borderId="0" xfId="61" applyFont="1" applyBorder="1" applyAlignment="1">
      <alignment horizontal="right" vertical="justify"/>
      <protection/>
    </xf>
    <xf numFmtId="0" fontId="5" fillId="0" borderId="10" xfId="60" applyFont="1" applyBorder="1" applyAlignment="1">
      <alignment vertical="center" wrapTex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5" fillId="0" borderId="10" xfId="60" applyNumberFormat="1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righ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5" fillId="0" borderId="0" xfId="60" applyNumberFormat="1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5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6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6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6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6" fillId="0" borderId="0" xfId="63" applyFont="1" applyAlignment="1" applyProtection="1">
      <alignment vertical="top"/>
      <protection locked="0"/>
    </xf>
    <xf numFmtId="1" fontId="6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3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0" borderId="10" xfId="63" applyNumberFormat="1" applyFont="1" applyFill="1" applyBorder="1" applyAlignment="1" applyProtection="1">
      <alignment horizontal="right" vertical="top" wrapText="1"/>
      <protection/>
    </xf>
    <xf numFmtId="1" fontId="19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19" fillId="37" borderId="10" xfId="63" applyNumberFormat="1" applyFont="1" applyFill="1" applyBorder="1" applyAlignment="1" applyProtection="1">
      <alignment vertical="top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63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63" applyNumberFormat="1" applyFont="1" applyFill="1" applyBorder="1" applyAlignment="1" applyProtection="1">
      <alignment vertical="top"/>
      <protection/>
    </xf>
    <xf numFmtId="0" fontId="19" fillId="37" borderId="29" xfId="63" applyNumberFormat="1" applyFont="1" applyFill="1" applyBorder="1" applyAlignment="1" applyProtection="1">
      <alignment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3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6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7" fillId="0" borderId="11" xfId="63" applyNumberFormat="1" applyFont="1" applyBorder="1" applyAlignment="1" applyProtection="1">
      <alignment horizontal="right" vertical="top" wrapText="1"/>
      <protection/>
    </xf>
    <xf numFmtId="1" fontId="7" fillId="33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36" xfId="63" applyNumberFormat="1" applyFont="1" applyBorder="1" applyAlignment="1" applyProtection="1">
      <alignment horizontal="right" vertical="top" wrapText="1"/>
      <protection/>
    </xf>
    <xf numFmtId="1" fontId="5" fillId="0" borderId="36" xfId="63" applyNumberFormat="1" applyFont="1" applyBorder="1" applyAlignment="1" applyProtection="1">
      <alignment horizontal="right" vertical="top" wrapText="1"/>
      <protection/>
    </xf>
    <xf numFmtId="0" fontId="6" fillId="0" borderId="0" xfId="63" applyFont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horizontal="right" vertic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right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0" fontId="11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6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6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60" applyNumberFormat="1" applyFont="1" applyBorder="1" applyAlignment="1" applyProtection="1">
      <alignment horizontal="right" vertical="center" wrapText="1"/>
      <protection/>
    </xf>
    <xf numFmtId="1" fontId="6" fillId="0" borderId="10" xfId="60" applyNumberFormat="1" applyFont="1" applyFill="1" applyBorder="1" applyAlignment="1" applyProtection="1">
      <alignment horizontal="right" vertical="center" wrapText="1"/>
      <protection/>
    </xf>
    <xf numFmtId="0" fontId="18" fillId="37" borderId="10" xfId="63" applyFont="1" applyFill="1" applyBorder="1" applyAlignment="1" applyProtection="1">
      <alignment horizontal="lef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0" fontId="18" fillId="37" borderId="37" xfId="63" applyFont="1" applyFill="1" applyBorder="1" applyAlignment="1" applyProtection="1">
      <alignment horizontal="left"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18" fillId="37" borderId="38" xfId="63" applyFont="1" applyFill="1" applyBorder="1" applyAlignment="1" applyProtection="1">
      <alignment vertical="top" wrapText="1"/>
      <protection/>
    </xf>
    <xf numFmtId="49" fontId="18" fillId="37" borderId="36" xfId="63" applyNumberFormat="1" applyFont="1" applyFill="1" applyBorder="1" applyAlignment="1" applyProtection="1">
      <alignment vertical="center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0" applyFont="1" applyProtection="1">
      <alignment/>
      <protection locked="0"/>
    </xf>
    <xf numFmtId="49" fontId="5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0" fillId="0" borderId="10" xfId="63" applyFont="1" applyBorder="1" applyAlignment="1" applyProtection="1">
      <alignment vertical="top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/>
    </xf>
    <xf numFmtId="0" fontId="12" fillId="0" borderId="0" xfId="65" applyFont="1" applyBorder="1" applyAlignment="1" applyProtection="1">
      <alignment horizontal="centerContinuous"/>
      <protection/>
    </xf>
    <xf numFmtId="0" fontId="12" fillId="0" borderId="35" xfId="65" applyFont="1" applyBorder="1" applyAlignment="1" applyProtection="1">
      <alignment horizontal="centerContinuous"/>
      <protection/>
    </xf>
    <xf numFmtId="0" fontId="12" fillId="0" borderId="0" xfId="65" applyFont="1" applyAlignment="1" applyProtection="1">
      <alignment horizontal="centerContinuous" wrapText="1"/>
      <protection/>
    </xf>
    <xf numFmtId="0" fontId="11" fillId="0" borderId="0" xfId="63" applyFont="1" applyBorder="1" applyAlignment="1" applyProtection="1">
      <alignment vertical="top" wrapText="1"/>
      <protection/>
    </xf>
    <xf numFmtId="0" fontId="11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Border="1" applyAlignment="1" applyProtection="1">
      <alignment horizontal="left" vertical="top"/>
      <protection/>
    </xf>
    <xf numFmtId="0" fontId="11" fillId="0" borderId="0" xfId="63" applyFont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vertical="top" wrapText="1"/>
      <protection/>
    </xf>
    <xf numFmtId="0" fontId="11" fillId="0" borderId="0" xfId="64" applyFont="1" applyFill="1" applyBorder="1" applyAlignment="1" applyProtection="1">
      <alignment horizontal="right" vertical="center" wrapText="1"/>
      <protection/>
    </xf>
    <xf numFmtId="0" fontId="11" fillId="0" borderId="0" xfId="66" applyFont="1" applyAlignment="1" applyProtection="1">
      <alignment horizontal="centerContinuous" wrapText="1"/>
      <protection/>
    </xf>
    <xf numFmtId="49" fontId="11" fillId="0" borderId="0" xfId="66" applyNumberFormat="1" applyFont="1" applyAlignment="1" applyProtection="1">
      <alignment horizontal="center" wrapText="1"/>
      <protection/>
    </xf>
    <xf numFmtId="0" fontId="11" fillId="0" borderId="0" xfId="66" applyFont="1" applyAlignment="1" applyProtection="1">
      <alignment horizontal="centerContinuous"/>
      <protection/>
    </xf>
    <xf numFmtId="0" fontId="12" fillId="0" borderId="0" xfId="66" applyFont="1" applyProtection="1">
      <alignment/>
      <protection/>
    </xf>
    <xf numFmtId="0" fontId="10" fillId="0" borderId="0" xfId="66" applyFont="1" applyAlignment="1" applyProtection="1">
      <alignment horizontal="left"/>
      <protection/>
    </xf>
    <xf numFmtId="0" fontId="11" fillId="0" borderId="0" xfId="66" applyFont="1" applyBorder="1" applyAlignment="1" applyProtection="1">
      <alignment horizontal="left" vertical="top" wrapText="1"/>
      <protection/>
    </xf>
    <xf numFmtId="0" fontId="11" fillId="0" borderId="0" xfId="66" applyFont="1" applyProtection="1">
      <alignment/>
      <protection/>
    </xf>
    <xf numFmtId="0" fontId="11" fillId="0" borderId="0" xfId="64" applyFont="1" applyAlignment="1" applyProtection="1">
      <alignment horizontal="right" wrapText="1"/>
      <protection/>
    </xf>
    <xf numFmtId="0" fontId="11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center"/>
      <protection/>
    </xf>
    <xf numFmtId="0" fontId="6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Border="1" applyAlignment="1" applyProtection="1">
      <alignment horizontal="center" vertical="justify" wrapText="1"/>
      <protection/>
    </xf>
    <xf numFmtId="0" fontId="12" fillId="0" borderId="0" xfId="61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1" fontId="11" fillId="0" borderId="0" xfId="58" applyNumberFormat="1" applyFont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justify"/>
      <protection/>
    </xf>
    <xf numFmtId="1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58" applyFont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1" fillId="0" borderId="0" xfId="58" applyFont="1" applyProtection="1">
      <alignment/>
      <protection/>
    </xf>
    <xf numFmtId="0" fontId="11" fillId="0" borderId="0" xfId="61" applyFont="1" applyAlignment="1" applyProtection="1">
      <alignment vertical="justify"/>
      <protection/>
    </xf>
    <xf numFmtId="0" fontId="10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/>
      <protection/>
    </xf>
    <xf numFmtId="49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73" fontId="11" fillId="0" borderId="0" xfId="63" applyNumberFormat="1" applyFont="1" applyBorder="1" applyAlignment="1" applyProtection="1">
      <alignment horizontal="left" vertical="top"/>
      <protection/>
    </xf>
    <xf numFmtId="0" fontId="6" fillId="0" borderId="0" xfId="60" applyFont="1" applyAlignment="1">
      <alignment horizontal="left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6" fillId="0" borderId="0" xfId="61" applyNumberFormat="1" applyFont="1" applyAlignment="1">
      <alignment horizontal="center"/>
      <protection/>
    </xf>
    <xf numFmtId="0" fontId="6" fillId="0" borderId="0" xfId="61" applyFont="1" applyAlignment="1" applyProtection="1">
      <alignment horizontal="center"/>
      <protection locked="0"/>
    </xf>
    <xf numFmtId="0" fontId="6" fillId="0" borderId="0" xfId="61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6" fillId="0" borderId="0" xfId="62" applyFont="1" applyProtection="1">
      <alignment/>
      <protection/>
    </xf>
    <xf numFmtId="0" fontId="6" fillId="0" borderId="0" xfId="60" applyFont="1">
      <alignment/>
      <protection/>
    </xf>
    <xf numFmtId="49" fontId="6" fillId="0" borderId="0" xfId="60" applyNumberFormat="1" applyFont="1">
      <alignment/>
      <protection/>
    </xf>
    <xf numFmtId="49" fontId="6" fillId="0" borderId="0" xfId="62" applyNumberFormat="1" applyFont="1">
      <alignment/>
      <protection/>
    </xf>
    <xf numFmtId="0" fontId="11" fillId="0" borderId="0" xfId="62" applyFont="1" applyBorder="1" applyProtection="1">
      <alignment/>
      <protection/>
    </xf>
    <xf numFmtId="0" fontId="12" fillId="0" borderId="0" xfId="62" applyFont="1" applyBorder="1" applyProtection="1">
      <alignment/>
      <protection/>
    </xf>
    <xf numFmtId="1" fontId="12" fillId="0" borderId="0" xfId="62" applyNumberFormat="1" applyFont="1" applyBorder="1" applyProtection="1">
      <alignment/>
      <protection/>
    </xf>
    <xf numFmtId="1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1" fontId="12" fillId="0" borderId="0" xfId="62" applyNumberFormat="1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10" fillId="0" borderId="0" xfId="63" applyFont="1" applyAlignment="1" applyProtection="1">
      <alignment vertical="top" wrapText="1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 applyProtection="1">
      <alignment/>
      <protection locked="0"/>
    </xf>
    <xf numFmtId="0" fontId="11" fillId="0" borderId="0" xfId="66" applyFont="1">
      <alignment/>
      <protection/>
    </xf>
    <xf numFmtId="0" fontId="11" fillId="0" borderId="0" xfId="66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66" applyFont="1" applyAlignment="1" applyProtection="1">
      <alignment wrapText="1"/>
      <protection locked="0"/>
    </xf>
    <xf numFmtId="49" fontId="12" fillId="0" borderId="0" xfId="66" applyNumberFormat="1" applyFont="1" applyAlignment="1" applyProtection="1">
      <alignment horizontal="center"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6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0" fontId="10" fillId="0" borderId="0" xfId="63" applyFont="1" applyFill="1" applyAlignment="1" applyProtection="1">
      <alignment vertical="top"/>
      <protection/>
    </xf>
    <xf numFmtId="0" fontId="10" fillId="0" borderId="0" xfId="63" applyFont="1" applyFill="1" applyAlignment="1" applyProtection="1">
      <alignment horizontal="right" vertical="top" wrapText="1"/>
      <protection/>
    </xf>
    <xf numFmtId="0" fontId="12" fillId="0" borderId="0" xfId="64" applyFont="1" applyFill="1" applyAlignment="1" applyProtection="1">
      <alignment wrapText="1"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Alignment="1" applyProtection="1">
      <alignment horizontal="right"/>
      <protection/>
    </xf>
    <xf numFmtId="0" fontId="12" fillId="0" borderId="10" xfId="65" applyFont="1" applyBorder="1" applyProtection="1">
      <alignment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1" fontId="12" fillId="34" borderId="10" xfId="65" applyNumberFormat="1" applyFont="1" applyFill="1" applyBorder="1" applyProtection="1">
      <alignment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2" fillId="0" borderId="10" xfId="65" applyNumberFormat="1" applyFont="1" applyBorder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2" fillId="36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0" fontId="12" fillId="0" borderId="10" xfId="65" applyFont="1" applyBorder="1" applyAlignment="1" applyProtection="1">
      <alignment horizontal="centerContinuous" wrapText="1"/>
      <protection/>
    </xf>
    <xf numFmtId="49" fontId="11" fillId="0" borderId="10" xfId="65" applyNumberFormat="1" applyFont="1" applyBorder="1" applyAlignment="1" applyProtection="1">
      <alignment horizontal="centerContinuous" wrapText="1"/>
      <protection/>
    </xf>
    <xf numFmtId="3" fontId="12" fillId="0" borderId="10" xfId="65" applyNumberFormat="1" applyFont="1" applyFill="1" applyBorder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2" fillId="0" borderId="0" xfId="65" applyNumberFormat="1" applyFont="1" applyProtection="1">
      <alignment/>
      <protection locked="0"/>
    </xf>
    <xf numFmtId="0" fontId="12" fillId="0" borderId="0" xfId="65" applyFont="1" applyBorder="1" applyAlignment="1">
      <alignment wrapText="1"/>
      <protection/>
    </xf>
    <xf numFmtId="1" fontId="12" fillId="0" borderId="0" xfId="65" applyNumberFormat="1" applyFont="1" applyBorder="1">
      <alignment/>
      <protection/>
    </xf>
    <xf numFmtId="1" fontId="12" fillId="0" borderId="0" xfId="65" applyNumberFormat="1" applyFont="1">
      <alignment/>
      <protection/>
    </xf>
    <xf numFmtId="0" fontId="12" fillId="0" borderId="0" xfId="65" applyFont="1" applyBorder="1">
      <alignment/>
      <protection/>
    </xf>
    <xf numFmtId="0" fontId="12" fillId="0" borderId="0" xfId="65" applyFont="1" applyAlignment="1">
      <alignment wrapText="1"/>
      <protection/>
    </xf>
    <xf numFmtId="0" fontId="10" fillId="0" borderId="0" xfId="63" applyFont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right" vertical="top"/>
      <protection locked="0"/>
    </xf>
    <xf numFmtId="49" fontId="21" fillId="0" borderId="10" xfId="65" applyNumberFormat="1" applyFont="1" applyBorder="1" applyAlignment="1" applyProtection="1">
      <alignment horizontal="centerContinuous" wrapText="1"/>
      <protection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22" fillId="0" borderId="0" xfId="62" applyFont="1" applyProtection="1">
      <alignment/>
      <protection/>
    </xf>
    <xf numFmtId="0" fontId="22" fillId="0" borderId="0" xfId="62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63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65" applyNumberFormat="1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/>
    </xf>
    <xf numFmtId="172" fontId="12" fillId="0" borderId="32" xfId="63" applyNumberFormat="1" applyFont="1" applyBorder="1" applyAlignment="1" applyProtection="1">
      <alignment horizontal="left" vertical="top" wrapText="1"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Border="1" applyAlignment="1" applyProtection="1">
      <alignment horizontal="left" wrapText="1"/>
      <protection/>
    </xf>
    <xf numFmtId="0" fontId="12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NumberFormat="1" applyFont="1" applyBorder="1" applyAlignment="1" applyProtection="1">
      <alignment horizontal="left" vertical="top" wrapText="1"/>
      <protection/>
    </xf>
    <xf numFmtId="0" fontId="11" fillId="0" borderId="0" xfId="66" applyFont="1" applyBorder="1" applyAlignment="1" applyProtection="1">
      <alignment horizontal="left" vertical="center" wrapText="1"/>
      <protection locked="0"/>
    </xf>
    <xf numFmtId="0" fontId="10" fillId="0" borderId="0" xfId="66" applyFont="1" applyAlignment="1" applyProtection="1">
      <alignment horizontal="left"/>
      <protection/>
    </xf>
    <xf numFmtId="0" fontId="10" fillId="0" borderId="0" xfId="66" applyFont="1" applyAlignment="1" applyProtection="1">
      <alignment horizontal="right"/>
      <protection/>
    </xf>
    <xf numFmtId="17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73" fontId="11" fillId="0" borderId="0" xfId="61" applyNumberFormat="1" applyFont="1" applyBorder="1" applyAlignment="1" applyProtection="1">
      <alignment horizontal="left" vertical="justify" wrapText="1"/>
      <protection/>
    </xf>
    <xf numFmtId="0" fontId="12" fillId="0" borderId="0" xfId="61" applyFont="1" applyBorder="1" applyAlignment="1" applyProtection="1">
      <alignment horizontal="right" vertical="justify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/>
    </xf>
    <xf numFmtId="173" fontId="11" fillId="0" borderId="0" xfId="61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1" fontId="11" fillId="0" borderId="0" xfId="61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61" applyNumberFormat="1" applyFont="1" applyAlignment="1" applyProtection="1">
      <alignment horizontal="left" vertical="justify"/>
      <protection/>
    </xf>
    <xf numFmtId="173" fontId="11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3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61" applyFont="1" applyAlignment="1" applyProtection="1">
      <alignment horizontal="right"/>
      <protection/>
    </xf>
    <xf numFmtId="0" fontId="5" fillId="0" borderId="0" xfId="60" applyNumberFormat="1" applyFont="1" applyAlignment="1" applyProtection="1">
      <alignment horizontal="left" vertical="center" wrapText="1"/>
      <protection locked="0"/>
    </xf>
    <xf numFmtId="173" fontId="5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866</v>
      </c>
      <c r="F3" s="217" t="s">
        <v>2</v>
      </c>
      <c r="G3" s="172"/>
      <c r="H3" s="461">
        <v>175158218</v>
      </c>
    </row>
    <row r="4" spans="1:8" ht="15">
      <c r="A4" s="576" t="s">
        <v>3</v>
      </c>
      <c r="B4" s="582"/>
      <c r="C4" s="582"/>
      <c r="D4" s="582"/>
      <c r="E4" s="504" t="s">
        <v>159</v>
      </c>
      <c r="F4" s="578" t="s">
        <v>4</v>
      </c>
      <c r="G4" s="579"/>
      <c r="H4" s="461" t="s">
        <v>159</v>
      </c>
    </row>
    <row r="5" spans="1:8" ht="15">
      <c r="A5" s="576" t="s">
        <v>860</v>
      </c>
      <c r="B5" s="577"/>
      <c r="C5" s="577"/>
      <c r="D5" s="577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</v>
      </c>
      <c r="H11" s="152">
        <v>5</v>
      </c>
    </row>
    <row r="12" spans="1:8" ht="15">
      <c r="A12" s="235" t="s">
        <v>24</v>
      </c>
      <c r="B12" s="241" t="s">
        <v>25</v>
      </c>
      <c r="C12" s="151">
        <f>570-140</f>
        <v>430</v>
      </c>
      <c r="D12" s="151">
        <v>454</v>
      </c>
      <c r="E12" s="237" t="s">
        <v>26</v>
      </c>
      <c r="F12" s="242" t="s">
        <v>27</v>
      </c>
      <c r="G12" s="153">
        <v>5</v>
      </c>
      <c r="H12" s="153">
        <v>5</v>
      </c>
    </row>
    <row r="13" spans="1:8" ht="15">
      <c r="A13" s="235" t="s">
        <v>28</v>
      </c>
      <c r="B13" s="241" t="s">
        <v>29</v>
      </c>
      <c r="C13" s="151">
        <f>350-343</f>
        <v>7</v>
      </c>
      <c r="D13" s="151">
        <v>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546-450</f>
        <v>96</v>
      </c>
      <c r="D15" s="151">
        <v>134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80-59</f>
        <v>21</v>
      </c>
      <c r="D16" s="151">
        <v>29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</v>
      </c>
      <c r="H17" s="154">
        <f>H11+H14+H15+H16</f>
        <v>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554</v>
      </c>
      <c r="D19" s="155">
        <f>SUM(D11:D18)</f>
        <v>625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f>63-57</f>
        <v>6</v>
      </c>
      <c r="D24" s="151">
        <v>10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10</v>
      </c>
      <c r="E27" s="253" t="s">
        <v>83</v>
      </c>
      <c r="F27" s="242" t="s">
        <v>84</v>
      </c>
      <c r="G27" s="154">
        <f>SUM(G28:G30)</f>
        <v>80</v>
      </c>
      <c r="H27" s="154">
        <f>SUM(H28:H30)</f>
        <v>-155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443</v>
      </c>
      <c r="H28" s="152">
        <v>208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-363</v>
      </c>
      <c r="H29" s="316">
        <v>-363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</v>
      </c>
      <c r="H31" s="152">
        <v>235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100</v>
      </c>
      <c r="H33" s="154">
        <f>H27+H31+H32</f>
        <v>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10</v>
      </c>
      <c r="D34" s="155">
        <f>SUM(D35:D38)</f>
        <v>10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10</v>
      </c>
      <c r="D35" s="151">
        <v>10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105</v>
      </c>
      <c r="H36" s="154">
        <f>H25+H17+H33</f>
        <v>85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</v>
      </c>
      <c r="H44" s="152">
        <v>21</v>
      </c>
    </row>
    <row r="45" spans="1:15" ht="15">
      <c r="A45" s="235" t="s">
        <v>136</v>
      </c>
      <c r="B45" s="249" t="s">
        <v>137</v>
      </c>
      <c r="C45" s="155">
        <f>C34+C39+C44</f>
        <v>10</v>
      </c>
      <c r="D45" s="155">
        <f>D34+D39+D44</f>
        <v>10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1737</v>
      </c>
      <c r="H48" s="152">
        <v>1715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1745</v>
      </c>
      <c r="H49" s="154">
        <f>SUM(H43:H48)</f>
        <v>1736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21</v>
      </c>
      <c r="D54" s="151">
        <v>21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591</v>
      </c>
      <c r="D55" s="155">
        <f>D19+D20+D21+D27+D32+D45+D51+D53+D54</f>
        <v>666</v>
      </c>
      <c r="E55" s="237" t="s">
        <v>172</v>
      </c>
      <c r="F55" s="261" t="s">
        <v>173</v>
      </c>
      <c r="G55" s="154">
        <f>G49+G51+G52+G53+G54</f>
        <v>1745</v>
      </c>
      <c r="H55" s="154">
        <f>H49+H51+H52+H53+H54</f>
        <v>1736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717</v>
      </c>
      <c r="D58" s="151">
        <v>716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314</v>
      </c>
      <c r="D60" s="151">
        <v>298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3455</v>
      </c>
      <c r="H61" s="154">
        <f>SUM(H62:H68)</f>
        <v>2716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2337</v>
      </c>
      <c r="H62" s="152">
        <v>1938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1031</v>
      </c>
      <c r="D64" s="155">
        <f>SUM(D58:D63)</f>
        <v>1014</v>
      </c>
      <c r="E64" s="237" t="s">
        <v>200</v>
      </c>
      <c r="F64" s="242" t="s">
        <v>201</v>
      </c>
      <c r="G64" s="152">
        <v>698</v>
      </c>
      <c r="H64" s="152">
        <v>362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194</v>
      </c>
      <c r="H65" s="152">
        <v>194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</v>
      </c>
      <c r="H66" s="152">
        <v>6</v>
      </c>
    </row>
    <row r="67" spans="1:8" ht="15">
      <c r="A67" s="235" t="s">
        <v>207</v>
      </c>
      <c r="B67" s="241" t="s">
        <v>208</v>
      </c>
      <c r="C67" s="151">
        <v>2534</v>
      </c>
      <c r="D67" s="151">
        <v>2058</v>
      </c>
      <c r="E67" s="237" t="s">
        <v>209</v>
      </c>
      <c r="F67" s="242" t="s">
        <v>210</v>
      </c>
      <c r="G67" s="152">
        <v>39</v>
      </c>
      <c r="H67" s="152">
        <v>41</v>
      </c>
    </row>
    <row r="68" spans="1:8" ht="15">
      <c r="A68" s="235" t="s">
        <v>211</v>
      </c>
      <c r="B68" s="241" t="s">
        <v>212</v>
      </c>
      <c r="C68" s="151">
        <v>288</v>
      </c>
      <c r="D68" s="151">
        <v>127</v>
      </c>
      <c r="E68" s="237" t="s">
        <v>213</v>
      </c>
      <c r="F68" s="242" t="s">
        <v>214</v>
      </c>
      <c r="G68" s="152">
        <v>178</v>
      </c>
      <c r="H68" s="152">
        <v>175</v>
      </c>
    </row>
    <row r="69" spans="1:8" ht="15">
      <c r="A69" s="235" t="s">
        <v>215</v>
      </c>
      <c r="B69" s="241" t="s">
        <v>216</v>
      </c>
      <c r="C69" s="151">
        <v>12</v>
      </c>
      <c r="D69" s="151">
        <v>10</v>
      </c>
      <c r="E69" s="251" t="s">
        <v>78</v>
      </c>
      <c r="F69" s="242" t="s">
        <v>217</v>
      </c>
      <c r="G69" s="152">
        <v>320</v>
      </c>
      <c r="H69" s="152">
        <v>276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3775</v>
      </c>
      <c r="H71" s="161">
        <f>H59+H60+H61+H69+H70</f>
        <v>2992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f>34+31</f>
        <v>65</v>
      </c>
      <c r="D72" s="151">
        <v>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56</v>
      </c>
      <c r="D73" s="151">
        <v>258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976</v>
      </c>
      <c r="D74" s="151">
        <v>642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3931</v>
      </c>
      <c r="D75" s="155">
        <f>SUM(D67:D74)</f>
        <v>3110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3775</v>
      </c>
      <c r="H79" s="162">
        <f>H71+H74+H75+H76</f>
        <v>2992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</v>
      </c>
      <c r="D87" s="151">
        <v>13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59</v>
      </c>
      <c r="D88" s="151">
        <v>10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72</v>
      </c>
      <c r="D91" s="155">
        <f>SUM(D87:D90)</f>
        <v>23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5034</v>
      </c>
      <c r="D93" s="155">
        <f>D64+D75+D84+D91+D92</f>
        <v>4147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5625</v>
      </c>
      <c r="D94" s="164">
        <f>D93+D55</f>
        <v>4813</v>
      </c>
      <c r="E94" s="449" t="s">
        <v>270</v>
      </c>
      <c r="F94" s="289" t="s">
        <v>271</v>
      </c>
      <c r="G94" s="165">
        <f>G36+G39+G55+G79</f>
        <v>5625</v>
      </c>
      <c r="H94" s="165">
        <f>H36+H39+H55+H79</f>
        <v>4813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0" t="s">
        <v>867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"МАРИНА КЕЙП МЕНИДЖМЪНТ" ЕООД</v>
      </c>
      <c r="C2" s="585"/>
      <c r="D2" s="585"/>
      <c r="E2" s="585"/>
      <c r="F2" s="587" t="s">
        <v>2</v>
      </c>
      <c r="G2" s="587"/>
      <c r="H2" s="526">
        <f>'справка №1-БАЛАНС'!H3</f>
        <v>175158218</v>
      </c>
    </row>
    <row r="3" spans="1:8" ht="15">
      <c r="A3" s="467" t="s">
        <v>274</v>
      </c>
      <c r="B3" s="585" t="str">
        <f>'справка №1-БАЛАНС'!E4</f>
        <v> 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01.01.2015 - 31.12.2015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297</v>
      </c>
      <c r="D9" s="46">
        <v>330</v>
      </c>
      <c r="E9" s="298" t="s">
        <v>284</v>
      </c>
      <c r="F9" s="549" t="s">
        <v>285</v>
      </c>
      <c r="G9" s="550">
        <v>255</v>
      </c>
      <c r="H9" s="550">
        <v>306</v>
      </c>
    </row>
    <row r="10" spans="1:8" ht="12">
      <c r="A10" s="298" t="s">
        <v>286</v>
      </c>
      <c r="B10" s="299" t="s">
        <v>287</v>
      </c>
      <c r="C10" s="46">
        <v>853</v>
      </c>
      <c r="D10" s="46">
        <v>789</v>
      </c>
      <c r="E10" s="298" t="s">
        <v>288</v>
      </c>
      <c r="F10" s="549" t="s">
        <v>289</v>
      </c>
      <c r="G10" s="550">
        <v>213</v>
      </c>
      <c r="H10" s="550">
        <v>204</v>
      </c>
    </row>
    <row r="11" spans="1:8" ht="12">
      <c r="A11" s="298" t="s">
        <v>290</v>
      </c>
      <c r="B11" s="299" t="s">
        <v>291</v>
      </c>
      <c r="C11" s="46">
        <v>79</v>
      </c>
      <c r="D11" s="46">
        <v>100</v>
      </c>
      <c r="E11" s="300" t="s">
        <v>292</v>
      </c>
      <c r="F11" s="549" t="s">
        <v>293</v>
      </c>
      <c r="G11" s="550">
        <f>1465-170</f>
        <v>1295</v>
      </c>
      <c r="H11" s="550">
        <v>1561</v>
      </c>
    </row>
    <row r="12" spans="1:8" ht="12">
      <c r="A12" s="298" t="s">
        <v>294</v>
      </c>
      <c r="B12" s="299" t="s">
        <v>295</v>
      </c>
      <c r="C12" s="46">
        <v>180</v>
      </c>
      <c r="D12" s="46">
        <v>168</v>
      </c>
      <c r="E12" s="300" t="s">
        <v>78</v>
      </c>
      <c r="F12" s="549" t="s">
        <v>296</v>
      </c>
      <c r="G12" s="550">
        <v>67</v>
      </c>
      <c r="H12" s="550">
        <v>111</v>
      </c>
    </row>
    <row r="13" spans="1:18" ht="12">
      <c r="A13" s="298" t="s">
        <v>297</v>
      </c>
      <c r="B13" s="299" t="s">
        <v>298</v>
      </c>
      <c r="C13" s="46">
        <v>32</v>
      </c>
      <c r="D13" s="46">
        <v>30</v>
      </c>
      <c r="E13" s="301" t="s">
        <v>51</v>
      </c>
      <c r="F13" s="551" t="s">
        <v>299</v>
      </c>
      <c r="G13" s="548">
        <f>SUM(G9:G12)</f>
        <v>1830</v>
      </c>
      <c r="H13" s="548">
        <f>SUM(H9:H12)</f>
        <v>2182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155</v>
      </c>
      <c r="D14" s="46">
        <v>158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114</v>
      </c>
      <c r="D15" s="47">
        <v>154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37</v>
      </c>
      <c r="D16" s="47">
        <v>138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>
        <v>15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1747</v>
      </c>
      <c r="D19" s="49">
        <f>SUM(D9:D15)+D16</f>
        <v>1867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14</v>
      </c>
      <c r="D22" s="46">
        <v>68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7</v>
      </c>
      <c r="D25" s="46">
        <v>10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21</v>
      </c>
      <c r="D26" s="49">
        <f>SUM(D22:D25)</f>
        <v>78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1768</v>
      </c>
      <c r="D28" s="50">
        <f>D26+D19</f>
        <v>1945</v>
      </c>
      <c r="E28" s="127" t="s">
        <v>338</v>
      </c>
      <c r="F28" s="554" t="s">
        <v>339</v>
      </c>
      <c r="G28" s="548">
        <f>G13+G15+G24</f>
        <v>1830</v>
      </c>
      <c r="H28" s="548">
        <f>H13+H15+H24</f>
        <v>2182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62</v>
      </c>
      <c r="D30" s="50">
        <f>IF((H28-D28)&gt;0,H28-D28,0)</f>
        <v>237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>
        <v>47</v>
      </c>
      <c r="D32" s="46"/>
      <c r="E32" s="296" t="s">
        <v>348</v>
      </c>
      <c r="F32" s="552" t="s">
        <v>349</v>
      </c>
      <c r="G32" s="550">
        <v>5</v>
      </c>
      <c r="H32" s="550">
        <v>0</v>
      </c>
    </row>
    <row r="33" spans="1:18" ht="12">
      <c r="A33" s="128" t="s">
        <v>350</v>
      </c>
      <c r="B33" s="306" t="s">
        <v>351</v>
      </c>
      <c r="C33" s="49">
        <f>C28+C31+C32</f>
        <v>1815</v>
      </c>
      <c r="D33" s="49">
        <f>D28+D31+D32</f>
        <v>1945</v>
      </c>
      <c r="E33" s="127" t="s">
        <v>352</v>
      </c>
      <c r="F33" s="554" t="s">
        <v>353</v>
      </c>
      <c r="G33" s="53">
        <f>G32+G31+G28</f>
        <v>1835</v>
      </c>
      <c r="H33" s="53">
        <f>H32+H31+H28</f>
        <v>2182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20</v>
      </c>
      <c r="D34" s="50">
        <f>IF((H33-D33)&gt;0,H33-D33,0)</f>
        <v>237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20</v>
      </c>
      <c r="D39" s="460">
        <f>+IF((H33-D33-D35)&gt;0,H33-D33-D35,0)</f>
        <v>235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20</v>
      </c>
      <c r="D41" s="52">
        <f>IF(H39=0,IF(D39-D40&gt;0,D39-D40+H40,0),IF(H39-H40&lt;0,H40-H39+D39,0))</f>
        <v>235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1835</v>
      </c>
      <c r="D42" s="53">
        <f>D33+D35+D39</f>
        <v>2182</v>
      </c>
      <c r="E42" s="128" t="s">
        <v>379</v>
      </c>
      <c r="F42" s="129" t="s">
        <v>380</v>
      </c>
      <c r="G42" s="53">
        <f>G39+G33</f>
        <v>1835</v>
      </c>
      <c r="H42" s="53">
        <f>H39+H33</f>
        <v>2182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42457</v>
      </c>
      <c r="C48" s="427" t="s">
        <v>381</v>
      </c>
      <c r="D48" s="583" t="s">
        <v>868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862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"МАРИНА КЕЙП МЕНИДЖМЪНТ" ЕООД</v>
      </c>
      <c r="C4" s="541" t="s">
        <v>2</v>
      </c>
      <c r="D4" s="541">
        <f>'справка №1-БАЛАНС'!H3</f>
        <v>175158218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01.01.2015 - 31.12.2015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1452</v>
      </c>
      <c r="D10" s="54">
        <v>1702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-953</v>
      </c>
      <c r="D11" s="54">
        <v>-939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-196</v>
      </c>
      <c r="D13" s="54">
        <v>-167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-119</v>
      </c>
      <c r="D14" s="54">
        <v>-219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-7</v>
      </c>
      <c r="D17" s="54">
        <v>-11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322-390-53</f>
        <v>-121</v>
      </c>
      <c r="D19" s="54">
        <v>-336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52</v>
      </c>
      <c r="D20" s="55">
        <f>SUM(D10:D19)</f>
        <v>30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-49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-49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49</v>
      </c>
      <c r="D43" s="55">
        <f>D42+D32+D20</f>
        <v>-19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23</v>
      </c>
      <c r="D44" s="132">
        <v>42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72</v>
      </c>
      <c r="D45" s="55">
        <f>D44+D43</f>
        <v>23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72</v>
      </c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868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780</v>
      </c>
      <c r="C52" s="589" t="s">
        <v>862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"МАРИНА КЕЙП МЕНИДЖМЪНТ" ЕООД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175158218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01.01.2015 - 31.12.2015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443</v>
      </c>
      <c r="J11" s="58">
        <f>'справка №1-БАЛАНС'!H29+'справка №1-БАЛАНС'!H32</f>
        <v>-363</v>
      </c>
      <c r="K11" s="60"/>
      <c r="L11" s="344">
        <f>SUM(C11:K11)</f>
        <v>85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443</v>
      </c>
      <c r="J15" s="61">
        <f t="shared" si="2"/>
        <v>-363</v>
      </c>
      <c r="K15" s="61">
        <f t="shared" si="2"/>
        <v>0</v>
      </c>
      <c r="L15" s="344">
        <f t="shared" si="1"/>
        <v>85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20</v>
      </c>
      <c r="J16" s="345">
        <f>+'справка №1-БАЛАНС'!G32</f>
        <v>0</v>
      </c>
      <c r="K16" s="60"/>
      <c r="L16" s="344">
        <f t="shared" si="1"/>
        <v>20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463</v>
      </c>
      <c r="J29" s="59">
        <f t="shared" si="6"/>
        <v>-363</v>
      </c>
      <c r="K29" s="59">
        <f t="shared" si="6"/>
        <v>0</v>
      </c>
      <c r="L29" s="344">
        <f t="shared" si="1"/>
        <v>105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463</v>
      </c>
      <c r="J32" s="59">
        <f t="shared" si="7"/>
        <v>-363</v>
      </c>
      <c r="K32" s="59">
        <f t="shared" si="7"/>
        <v>0</v>
      </c>
      <c r="L32" s="344">
        <f t="shared" si="1"/>
        <v>105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1" t="s">
        <v>521</v>
      </c>
      <c r="E38" s="591"/>
      <c r="F38" s="591" t="s">
        <v>868</v>
      </c>
      <c r="G38" s="591"/>
      <c r="H38" s="591"/>
      <c r="I38" s="591"/>
      <c r="J38" s="15" t="s">
        <v>854</v>
      </c>
      <c r="K38" s="15"/>
      <c r="L38" s="591" t="s">
        <v>862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4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"МАРИНА КЕЙП МЕНИДЖМЪНТ" ЕООД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175158218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01.01.2015 - 31.12.2015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10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8" t="s">
        <v>529</v>
      </c>
      <c r="R5" s="608" t="s">
        <v>530</v>
      </c>
    </row>
    <row r="6" spans="1:18" s="100" customFormat="1" ht="48">
      <c r="A6" s="604"/>
      <c r="B6" s="605"/>
      <c r="C6" s="61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9"/>
      <c r="R6" s="60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570</v>
      </c>
      <c r="E10" s="189"/>
      <c r="F10" s="189"/>
      <c r="G10" s="74">
        <f aca="true" t="shared" si="2" ref="G10:G39">D10+E10-F10</f>
        <v>570</v>
      </c>
      <c r="H10" s="65"/>
      <c r="I10" s="65"/>
      <c r="J10" s="74">
        <f aca="true" t="shared" si="3" ref="J10:J39">G10+H10-I10</f>
        <v>570</v>
      </c>
      <c r="K10" s="65">
        <v>116</v>
      </c>
      <c r="L10" s="65">
        <v>24</v>
      </c>
      <c r="M10" s="65"/>
      <c r="N10" s="74">
        <f aca="true" t="shared" si="4" ref="N10:N39">K10+L10-M10</f>
        <v>140</v>
      </c>
      <c r="O10" s="65"/>
      <c r="P10" s="65"/>
      <c r="Q10" s="74">
        <f t="shared" si="0"/>
        <v>140</v>
      </c>
      <c r="R10" s="74">
        <f t="shared" si="1"/>
        <v>430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347</v>
      </c>
      <c r="E11" s="189">
        <v>3</v>
      </c>
      <c r="F11" s="189"/>
      <c r="G11" s="74">
        <f t="shared" si="2"/>
        <v>350</v>
      </c>
      <c r="H11" s="65"/>
      <c r="I11" s="65"/>
      <c r="J11" s="74">
        <f t="shared" si="3"/>
        <v>350</v>
      </c>
      <c r="K11" s="65">
        <v>340</v>
      </c>
      <c r="L11" s="65">
        <v>3</v>
      </c>
      <c r="M11" s="65"/>
      <c r="N11" s="74">
        <f t="shared" si="4"/>
        <v>343</v>
      </c>
      <c r="O11" s="65"/>
      <c r="P11" s="65"/>
      <c r="Q11" s="74">
        <f t="shared" si="0"/>
        <v>343</v>
      </c>
      <c r="R11" s="74">
        <f t="shared" si="1"/>
        <v>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546</v>
      </c>
      <c r="E13" s="189"/>
      <c r="F13" s="189"/>
      <c r="G13" s="74">
        <f t="shared" si="2"/>
        <v>546</v>
      </c>
      <c r="H13" s="65"/>
      <c r="I13" s="65"/>
      <c r="J13" s="74">
        <f t="shared" si="3"/>
        <v>546</v>
      </c>
      <c r="K13" s="65">
        <v>412</v>
      </c>
      <c r="L13" s="65">
        <v>38</v>
      </c>
      <c r="M13" s="65"/>
      <c r="N13" s="74">
        <f t="shared" si="4"/>
        <v>450</v>
      </c>
      <c r="O13" s="65"/>
      <c r="P13" s="65"/>
      <c r="Q13" s="74">
        <f t="shared" si="0"/>
        <v>450</v>
      </c>
      <c r="R13" s="74">
        <f t="shared" si="1"/>
        <v>96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80</v>
      </c>
      <c r="E14" s="189"/>
      <c r="F14" s="189"/>
      <c r="G14" s="74">
        <f t="shared" si="2"/>
        <v>80</v>
      </c>
      <c r="H14" s="65"/>
      <c r="I14" s="65"/>
      <c r="J14" s="74">
        <f t="shared" si="3"/>
        <v>80</v>
      </c>
      <c r="K14" s="65">
        <v>51</v>
      </c>
      <c r="L14" s="65">
        <v>8</v>
      </c>
      <c r="M14" s="65"/>
      <c r="N14" s="74">
        <f t="shared" si="4"/>
        <v>59</v>
      </c>
      <c r="O14" s="65"/>
      <c r="P14" s="65"/>
      <c r="Q14" s="74">
        <f t="shared" si="0"/>
        <v>59</v>
      </c>
      <c r="R14" s="74">
        <f t="shared" si="1"/>
        <v>21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89</v>
      </c>
      <c r="E16" s="189"/>
      <c r="F16" s="189"/>
      <c r="G16" s="74">
        <f t="shared" si="2"/>
        <v>89</v>
      </c>
      <c r="H16" s="65"/>
      <c r="I16" s="65"/>
      <c r="J16" s="74">
        <f t="shared" si="3"/>
        <v>89</v>
      </c>
      <c r="K16" s="65">
        <v>88</v>
      </c>
      <c r="L16" s="65">
        <v>1</v>
      </c>
      <c r="M16" s="65"/>
      <c r="N16" s="74">
        <f t="shared" si="4"/>
        <v>89</v>
      </c>
      <c r="O16" s="65"/>
      <c r="P16" s="65"/>
      <c r="Q16" s="74">
        <f aca="true" t="shared" si="5" ref="Q16:Q25">N16+O16-P16</f>
        <v>89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1632</v>
      </c>
      <c r="E17" s="194">
        <f>SUM(E9:E16)</f>
        <v>3</v>
      </c>
      <c r="F17" s="194">
        <f>SUM(F9:F16)</f>
        <v>0</v>
      </c>
      <c r="G17" s="74">
        <f t="shared" si="2"/>
        <v>1635</v>
      </c>
      <c r="H17" s="75">
        <f>SUM(H9:H16)</f>
        <v>0</v>
      </c>
      <c r="I17" s="75">
        <f>SUM(I9:I16)</f>
        <v>0</v>
      </c>
      <c r="J17" s="74">
        <f t="shared" si="3"/>
        <v>1635</v>
      </c>
      <c r="K17" s="75">
        <f>SUM(K9:K16)</f>
        <v>1007</v>
      </c>
      <c r="L17" s="75">
        <f>SUM(L9:L16)</f>
        <v>74</v>
      </c>
      <c r="M17" s="75">
        <f>SUM(M9:M16)</f>
        <v>0</v>
      </c>
      <c r="N17" s="74">
        <f t="shared" si="4"/>
        <v>1081</v>
      </c>
      <c r="O17" s="75">
        <f>SUM(O9:O16)</f>
        <v>0</v>
      </c>
      <c r="P17" s="75">
        <f>SUM(P9:P16)</f>
        <v>0</v>
      </c>
      <c r="Q17" s="74">
        <f t="shared" si="5"/>
        <v>1081</v>
      </c>
      <c r="R17" s="74">
        <f t="shared" si="6"/>
        <v>554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63</v>
      </c>
      <c r="E22" s="189"/>
      <c r="F22" s="189"/>
      <c r="G22" s="74">
        <f t="shared" si="2"/>
        <v>63</v>
      </c>
      <c r="H22" s="65"/>
      <c r="I22" s="65"/>
      <c r="J22" s="74">
        <f t="shared" si="3"/>
        <v>63</v>
      </c>
      <c r="K22" s="65">
        <v>53</v>
      </c>
      <c r="L22" s="65">
        <v>4</v>
      </c>
      <c r="M22" s="65"/>
      <c r="N22" s="74">
        <f t="shared" si="4"/>
        <v>57</v>
      </c>
      <c r="O22" s="65"/>
      <c r="P22" s="65"/>
      <c r="Q22" s="74">
        <f t="shared" si="5"/>
        <v>57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63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63</v>
      </c>
      <c r="H25" s="66">
        <f t="shared" si="7"/>
        <v>0</v>
      </c>
      <c r="I25" s="66">
        <f t="shared" si="7"/>
        <v>0</v>
      </c>
      <c r="J25" s="67">
        <f t="shared" si="3"/>
        <v>63</v>
      </c>
      <c r="K25" s="66">
        <f t="shared" si="7"/>
        <v>53</v>
      </c>
      <c r="L25" s="66">
        <f t="shared" si="7"/>
        <v>4</v>
      </c>
      <c r="M25" s="66">
        <f t="shared" si="7"/>
        <v>0</v>
      </c>
      <c r="N25" s="67">
        <f t="shared" si="4"/>
        <v>57</v>
      </c>
      <c r="O25" s="66">
        <f t="shared" si="7"/>
        <v>0</v>
      </c>
      <c r="P25" s="66">
        <f t="shared" si="7"/>
        <v>0</v>
      </c>
      <c r="Q25" s="67">
        <f t="shared" si="5"/>
        <v>57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10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10</v>
      </c>
      <c r="H27" s="70">
        <f t="shared" si="8"/>
        <v>0</v>
      </c>
      <c r="I27" s="70">
        <f t="shared" si="8"/>
        <v>0</v>
      </c>
      <c r="J27" s="71">
        <f t="shared" si="3"/>
        <v>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10</v>
      </c>
      <c r="E28" s="189"/>
      <c r="F28" s="189"/>
      <c r="G28" s="74">
        <f t="shared" si="2"/>
        <v>10</v>
      </c>
      <c r="H28" s="65"/>
      <c r="I28" s="65"/>
      <c r="J28" s="74">
        <f t="shared" si="3"/>
        <v>10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10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10</v>
      </c>
      <c r="H38" s="75">
        <f t="shared" si="12"/>
        <v>0</v>
      </c>
      <c r="I38" s="75">
        <f t="shared" si="12"/>
        <v>0</v>
      </c>
      <c r="J38" s="74">
        <f t="shared" si="3"/>
        <v>10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1705</v>
      </c>
      <c r="E40" s="438">
        <f>E17+E18+E19+E25+E38+E39</f>
        <v>3</v>
      </c>
      <c r="F40" s="438">
        <f aca="true" t="shared" si="13" ref="F40:R40">F17+F18+F19+F25+F38+F39</f>
        <v>0</v>
      </c>
      <c r="G40" s="438">
        <f t="shared" si="13"/>
        <v>1708</v>
      </c>
      <c r="H40" s="438">
        <f t="shared" si="13"/>
        <v>0</v>
      </c>
      <c r="I40" s="438">
        <f t="shared" si="13"/>
        <v>0</v>
      </c>
      <c r="J40" s="438">
        <f t="shared" si="13"/>
        <v>1708</v>
      </c>
      <c r="K40" s="438">
        <f t="shared" si="13"/>
        <v>1060</v>
      </c>
      <c r="L40" s="438">
        <f t="shared" si="13"/>
        <v>78</v>
      </c>
      <c r="M40" s="438">
        <f t="shared" si="13"/>
        <v>0</v>
      </c>
      <c r="N40" s="438">
        <f t="shared" si="13"/>
        <v>1138</v>
      </c>
      <c r="O40" s="438">
        <f t="shared" si="13"/>
        <v>0</v>
      </c>
      <c r="P40" s="438">
        <f t="shared" si="13"/>
        <v>0</v>
      </c>
      <c r="Q40" s="438">
        <f t="shared" si="13"/>
        <v>1138</v>
      </c>
      <c r="R40" s="438">
        <f t="shared" si="13"/>
        <v>570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2"/>
      <c r="L44" s="612"/>
      <c r="M44" s="612"/>
      <c r="N44" s="612"/>
      <c r="O44" s="606" t="s">
        <v>861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"МАРИНА КЕЙП МЕНИДЖМЪНТ" ЕООД</v>
      </c>
      <c r="C3" s="620"/>
      <c r="D3" s="526" t="s">
        <v>2</v>
      </c>
      <c r="E3" s="107">
        <f>'справка №1-БАЛАНС'!H3</f>
        <v>175158218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01.01.2015 - 31.12.2015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21</v>
      </c>
      <c r="D21" s="108"/>
      <c r="E21" s="120">
        <f t="shared" si="0"/>
        <v>21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2534</v>
      </c>
      <c r="D24" s="119">
        <f>SUM(D25:D27)</f>
        <v>2534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2534</v>
      </c>
      <c r="D26" s="108">
        <v>2534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288</v>
      </c>
      <c r="D28" s="108">
        <v>288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12</v>
      </c>
      <c r="D29" s="108">
        <v>12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65</v>
      </c>
      <c r="D33" s="105">
        <f>SUM(D34:D37)</f>
        <v>65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17</v>
      </c>
      <c r="D34" s="108">
        <v>17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48</v>
      </c>
      <c r="D35" s="108">
        <v>48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1032</v>
      </c>
      <c r="D38" s="105">
        <f>SUM(D39:D42)</f>
        <v>1032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1032</v>
      </c>
      <c r="D42" s="108">
        <v>1032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3931</v>
      </c>
      <c r="D43" s="104">
        <f>D24+D28+D29+D31+D30+D32+D33+D38</f>
        <v>3931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3952</v>
      </c>
      <c r="D44" s="103">
        <f>D43+D21+D19+D9</f>
        <v>3931</v>
      </c>
      <c r="E44" s="118">
        <f>E43+E21+E19+E9</f>
        <v>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8</v>
      </c>
      <c r="D56" s="103">
        <f>D57+D59</f>
        <v>0</v>
      </c>
      <c r="E56" s="119">
        <f t="shared" si="1"/>
        <v>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>
        <v>8</v>
      </c>
      <c r="D57" s="108"/>
      <c r="E57" s="119">
        <f t="shared" si="1"/>
        <v>8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1737</v>
      </c>
      <c r="D64" s="108"/>
      <c r="E64" s="119">
        <f t="shared" si="1"/>
        <v>1737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1745</v>
      </c>
      <c r="D66" s="103">
        <f>D52+D56+D61+D62+D63+D64</f>
        <v>0</v>
      </c>
      <c r="E66" s="119">
        <f t="shared" si="1"/>
        <v>1745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2337</v>
      </c>
      <c r="D71" s="105">
        <f>SUM(D72:D74)</f>
        <v>2337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2337</v>
      </c>
      <c r="D72" s="108">
        <v>2337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1118</v>
      </c>
      <c r="D85" s="104">
        <f>SUM(D86:D90)+D94</f>
        <v>1118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698</v>
      </c>
      <c r="D87" s="108">
        <v>698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194</v>
      </c>
      <c r="D88" s="108">
        <v>194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9</v>
      </c>
      <c r="D89" s="108">
        <v>9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178</v>
      </c>
      <c r="D90" s="103">
        <f>SUM(D91:D93)</f>
        <v>178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114</v>
      </c>
      <c r="D92" s="108">
        <v>114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64</v>
      </c>
      <c r="D93" s="108">
        <v>64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39</v>
      </c>
      <c r="D94" s="108">
        <v>39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320</v>
      </c>
      <c r="D95" s="108">
        <v>320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3775</v>
      </c>
      <c r="D96" s="104">
        <f>D85+D80+D75+D71+D95</f>
        <v>3775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5520</v>
      </c>
      <c r="D97" s="104">
        <f>D96+D68+D66</f>
        <v>3775</v>
      </c>
      <c r="E97" s="104">
        <f>E96+E68+E66</f>
        <v>1745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867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31496062992125984" footer="0.2755905511811024"/>
  <pageSetup horizontalDpi="300" verticalDpi="3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"МАРИНА КЕЙП МЕНИДЖМЪНТ" ЕООД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175158218</v>
      </c>
    </row>
    <row r="5" spans="1:9" ht="15">
      <c r="A5" s="501" t="s">
        <v>5</v>
      </c>
      <c r="B5" s="622" t="str">
        <f>'справка №1-БАЛАНС'!E5</f>
        <v>01.01.2015 - 31.12.2015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/>
      <c r="C30" s="624"/>
      <c r="D30" s="459" t="s">
        <v>818</v>
      </c>
      <c r="E30" s="623" t="s">
        <v>868</v>
      </c>
      <c r="F30" s="623"/>
      <c r="G30" s="623"/>
      <c r="H30" s="420" t="s">
        <v>780</v>
      </c>
      <c r="I30" s="623" t="s">
        <v>862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"МАРИНА КЕЙП МЕНИДЖМЪНТ" ЕООД</v>
      </c>
      <c r="C5" s="628"/>
      <c r="D5" s="628"/>
      <c r="E5" s="570" t="s">
        <v>2</v>
      </c>
      <c r="F5" s="451">
        <f>'справка №1-БАЛАНС'!H3</f>
        <v>175158218</v>
      </c>
    </row>
    <row r="6" spans="1:13" ht="15" customHeight="1">
      <c r="A6" s="27" t="s">
        <v>821</v>
      </c>
      <c r="B6" s="629" t="str">
        <f>'справка №1-БАЛАНС'!E5</f>
        <v>01.01.2015 - 31.12.2015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1">
        <v>10</v>
      </c>
      <c r="D12" s="441">
        <v>100</v>
      </c>
      <c r="E12" s="441"/>
      <c r="F12" s="443">
        <f>C12-E12</f>
        <v>10</v>
      </c>
    </row>
    <row r="13" spans="1:6" ht="12.75">
      <c r="A13" s="36" t="s">
        <v>865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10</v>
      </c>
      <c r="D27" s="429"/>
      <c r="E27" s="429">
        <f>SUM(E12:E26)</f>
        <v>0</v>
      </c>
      <c r="F27" s="442">
        <f>SUM(F12:F26)</f>
        <v>10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10</v>
      </c>
      <c r="D79" s="429"/>
      <c r="E79" s="429">
        <f>E78+E61+E44+E27</f>
        <v>0</v>
      </c>
      <c r="F79" s="442">
        <f>F78+F61+F44+F27</f>
        <v>10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867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Mihaela Koleva</cp:lastModifiedBy>
  <cp:lastPrinted>2016-01-29T10:32:22Z</cp:lastPrinted>
  <dcterms:created xsi:type="dcterms:W3CDTF">2000-06-29T12:02:40Z</dcterms:created>
  <dcterms:modified xsi:type="dcterms:W3CDTF">2016-03-31T16:41:44Z</dcterms:modified>
  <cp:category/>
  <cp:version/>
  <cp:contentType/>
  <cp:contentStatus/>
</cp:coreProperties>
</file>